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-grgic\Desktop\Obrazac 2021.POV-ZAP\2021. POV ZAP EXEL\"/>
    </mc:Choice>
  </mc:AlternateContent>
  <xr:revisionPtr revIDLastSave="0" documentId="13_ncr:1_{DBB2ABE4-5EA5-4D53-BDCC-DDB0A227C828}" xr6:coauthVersionLast="47" xr6:coauthVersionMax="47" xr10:uidLastSave="{00000000-0000-0000-0000-000000000000}"/>
  <workbookProtection workbookPassword="CAB4" lockStructure="1"/>
  <bookViews>
    <workbookView xWindow="-120" yWindow="-120" windowWidth="29040" windowHeight="15840" xr2:uid="{00000000-000D-0000-FFFF-FFFF00000000}"/>
  </bookViews>
  <sheets>
    <sheet name="Referentna stranica" sheetId="1" r:id="rId1"/>
    <sheet name="POV-GOD" sheetId="2" r:id="rId2"/>
    <sheet name="Podaci" sheetId="3" state="hidden" r:id="rId3"/>
  </sheets>
  <definedNames>
    <definedName name="_xlnm.Print_Area" localSheetId="0">'Referentna stranica'!$A$1:$G$33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" i="3" l="1"/>
  <c r="AS2" i="3"/>
  <c r="AR2" i="3"/>
  <c r="AQ2" i="3"/>
  <c r="AD2" i="3"/>
  <c r="C35" i="2" l="1"/>
  <c r="AP2" i="3" s="1"/>
  <c r="C41" i="2"/>
  <c r="C40" i="2" s="1"/>
  <c r="AU2" i="3" s="1"/>
  <c r="H11" i="1" l="1"/>
  <c r="J11" i="1" s="1"/>
  <c r="BA2" i="3"/>
  <c r="AY2" i="3"/>
  <c r="AX2" i="3"/>
  <c r="AW2" i="3"/>
  <c r="AO2" i="3"/>
  <c r="AN2" i="3"/>
  <c r="AM2" i="3"/>
  <c r="AL2" i="3"/>
  <c r="AK2" i="3"/>
  <c r="AJ2" i="3"/>
  <c r="AI2" i="3"/>
  <c r="AH2" i="3"/>
  <c r="AG2" i="3"/>
  <c r="AE2" i="3"/>
  <c r="AC2" i="3"/>
  <c r="AB2" i="3"/>
  <c r="AA2" i="3"/>
  <c r="G2" i="3"/>
  <c r="H9" i="1"/>
  <c r="A3" i="1"/>
  <c r="C45" i="2"/>
  <c r="AZ2" i="3" s="1"/>
  <c r="AV2" i="3"/>
  <c r="C25" i="2"/>
  <c r="AF2" i="3" s="1"/>
  <c r="C19" i="2"/>
  <c r="Z2" i="3" s="1"/>
  <c r="F12" i="1" l="1"/>
  <c r="E2" i="3"/>
  <c r="D2" i="3"/>
  <c r="C2" i="3"/>
  <c r="K2" i="3"/>
  <c r="J2" i="3"/>
  <c r="I2" i="3"/>
  <c r="H2" i="3"/>
  <c r="F2" i="3"/>
  <c r="Y2" i="3"/>
  <c r="X2" i="3"/>
  <c r="W2" i="3"/>
  <c r="V2" i="3"/>
  <c r="S2" i="3"/>
  <c r="R2" i="3"/>
  <c r="Q2" i="3"/>
  <c r="M2" i="3"/>
  <c r="L2" i="3"/>
  <c r="B2" i="3"/>
  <c r="H30" i="1"/>
  <c r="J30" i="1" s="1"/>
  <c r="H29" i="1"/>
  <c r="BC2" i="3" l="1"/>
  <c r="J29" i="1"/>
  <c r="I8" i="1"/>
  <c r="H20" i="1"/>
  <c r="H19" i="1"/>
  <c r="H18" i="1"/>
  <c r="H17" i="1"/>
  <c r="H14" i="1"/>
  <c r="J9" i="1"/>
  <c r="H8" i="1"/>
  <c r="J8" i="1" s="1"/>
  <c r="H7" i="1"/>
  <c r="J7" i="1" s="1"/>
  <c r="H6" i="1"/>
  <c r="C14" i="2"/>
  <c r="C9" i="2"/>
  <c r="C7" i="2"/>
  <c r="N2" i="3" s="1"/>
  <c r="U2" i="3" l="1"/>
  <c r="C13" i="2"/>
  <c r="T2" i="3" s="1"/>
  <c r="P2" i="3"/>
  <c r="BE2" i="3" s="1"/>
  <c r="I9" i="1"/>
  <c r="A23" i="1"/>
  <c r="J6" i="1"/>
  <c r="H21" i="1"/>
  <c r="H35" i="1" s="1"/>
  <c r="A22" i="1" s="1"/>
  <c r="F10" i="1"/>
  <c r="D7" i="2"/>
  <c r="I17" i="1"/>
  <c r="J17" i="1" s="1"/>
  <c r="C4" i="2"/>
  <c r="A2" i="3" s="1"/>
  <c r="C3" i="2"/>
  <c r="L1" i="1"/>
  <c r="C8" i="2" l="1"/>
  <c r="C47" i="2" s="1"/>
  <c r="F13" i="1" s="1"/>
  <c r="D13" i="1" s="1"/>
  <c r="A21" i="1"/>
  <c r="I21" i="1"/>
  <c r="I35" i="1" s="1"/>
  <c r="J35" i="1" s="1"/>
  <c r="A20" i="1" s="1"/>
  <c r="M1" i="1"/>
  <c r="L2" i="1" s="1"/>
  <c r="J21" i="1" l="1"/>
  <c r="F11" i="1"/>
  <c r="BB2" i="3"/>
  <c r="D8" i="2"/>
  <c r="D9" i="2" s="1"/>
  <c r="A24" i="1" s="1"/>
  <c r="O2" i="3"/>
  <c r="BD2" i="3" s="1"/>
</calcChain>
</file>

<file path=xl/sharedStrings.xml><?xml version="1.0" encoding="utf-8"?>
<sst xmlns="http://schemas.openxmlformats.org/spreadsheetml/2006/main" count="141" uniqueCount="91">
  <si>
    <t>Referentna stranica</t>
  </si>
  <si>
    <t>Datum</t>
  </si>
  <si>
    <t>Godina</t>
  </si>
  <si>
    <t>Godišnji izvještaj o utrošku sredstava doznačenih za razdoblje 1. siječnja do 31. prosinca</t>
  </si>
  <si>
    <t>Osnovni podaci obveznika</t>
  </si>
  <si>
    <t>Popunjeno</t>
  </si>
  <si>
    <t>Naziv</t>
  </si>
  <si>
    <t xml:space="preserve">ZAGREBAČKA ŽUPANIJA </t>
  </si>
  <si>
    <t>Adresa (mjesto, ulica, br.)</t>
  </si>
  <si>
    <t>Ulica grada Vukovara 72/V</t>
  </si>
  <si>
    <t>OIB</t>
  </si>
  <si>
    <t>07132269553</t>
  </si>
  <si>
    <t>RKP</t>
  </si>
  <si>
    <t>Razdoblje za koje se podnosi obrazac</t>
  </si>
  <si>
    <t>Podaci iz obrasca POV-GOD</t>
  </si>
  <si>
    <t>Mjeseci</t>
  </si>
  <si>
    <t>1.-12.</t>
  </si>
  <si>
    <t>Prosječan br. zaposl.</t>
  </si>
  <si>
    <t>2021</t>
  </si>
  <si>
    <t>Utrošena sredstva</t>
  </si>
  <si>
    <t>Doznačena sredstva</t>
  </si>
  <si>
    <t>Razlika</t>
  </si>
  <si>
    <t>Višak</t>
  </si>
  <si>
    <t>Kontakt podaci</t>
  </si>
  <si>
    <t>Manjak</t>
  </si>
  <si>
    <t>Osoba za kontaktiranje</t>
  </si>
  <si>
    <t>Marina Čolig, univ.spec.oec.</t>
  </si>
  <si>
    <t>Telefon</t>
  </si>
  <si>
    <t>01/6009-446</t>
  </si>
  <si>
    <t>Adresa e-pošte za kontakt</t>
  </si>
  <si>
    <t>m.colig@zagrebacka-zupanija.hr</t>
  </si>
  <si>
    <t>Zakonski predstavnik</t>
  </si>
  <si>
    <t>mr.sc. Stjepan Kožić, dipl.iur</t>
  </si>
  <si>
    <t>Datum popunjavanja</t>
  </si>
  <si>
    <t>2.2.2022.</t>
  </si>
  <si>
    <t>Mjesto</t>
  </si>
  <si>
    <t>Zagreb</t>
  </si>
  <si>
    <t>(potpis odgovorne osobe)</t>
  </si>
  <si>
    <t>Naziv obveznika</t>
  </si>
  <si>
    <t>Izvještajno razdoblje</t>
  </si>
  <si>
    <t>Prosječan broj službenika i namještenika u punom radnom vremenu svih 12 mjeseci</t>
  </si>
  <si>
    <t>Prosječan broj službenika i namještenika u nepunom radnom vremenu svih 12 mjeseci</t>
  </si>
  <si>
    <t>Ukupan prosječan broj službenika i namještenika koji rade na poslovima državne uprave povjerenima jedinicama područne (regionalne) samouprave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</si>
  <si>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</si>
  <si>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</si>
  <si>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</si>
  <si>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</si>
  <si>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</si>
  <si>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</si>
  <si>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</si>
  <si>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Službena putovanja</t>
  </si>
  <si>
    <t>Naknada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</si>
  <si>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</si>
  <si>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</si>
  <si>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</si>
  <si>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</si>
  <si>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</si>
  <si>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</si>
  <si>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</si>
  <si>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</si>
  <si>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</si>
  <si>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</si>
  <si>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</si>
  <si>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</si>
  <si>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</si>
  <si>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</si>
  <si>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</si>
  <si>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</si>
  <si>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</si>
  <si>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</si>
  <si>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</si>
  <si>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</si>
  <si>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</si>
  <si>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</si>
  <si>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</si>
  <si>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</si>
  <si>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</si>
  <si>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</si>
  <si>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</si>
  <si>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Prihodi poslovanja</t>
  </si>
  <si>
    <t>Ukupno doznačena sredstva za izvještajno razdoblje</t>
  </si>
  <si>
    <t>Razlika između prihoda i rashoda</t>
  </si>
  <si>
    <t>Mjesec_godina</t>
  </si>
  <si>
    <t>Datum popunj.</t>
  </si>
  <si>
    <t>Adresa</t>
  </si>
  <si>
    <t>Kontakt osoba</t>
  </si>
  <si>
    <t>E-mail</t>
  </si>
  <si>
    <t xml:space="preserve">Ukupan prosječan broj službenika i namještenika koji rade na poslovima državne uprave </t>
  </si>
  <si>
    <t>Broj zaposlenih prema satima rada</t>
  </si>
  <si>
    <t>Ukupni troškovi po zaposlenom_svi troškovi</t>
  </si>
  <si>
    <t>Ukupni troškovi po zaposlenom_rash_ za zap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</si>
</sst>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@&quot;.&quot;"/>
  </numFmts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3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3" fillId="0" borderId="0" xfId="0" applyFont="1"/>
    <xf numFmtId="0" fontId="0" fillId="0" borderId="6" xfId="0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165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quotePrefix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165" fontId="0" fillId="0" borderId="0" xfId="0" applyNumberFormat="1" applyAlignment="1">
      <alignment horizontal="right"/>
    </xf>
    <xf numFmtId="0" fontId="0" fillId="0" borderId="6" xfId="0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5" fillId="0" borderId="1" xfId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Hiperveza" xfId="1" builtinId="8"/>
    <cellStyle name="Normalno" xfId="0" builtinId="0"/>
  </cellStyles>
  <dxfs count="2">
    <dxf>
      <font>
        <color rgb="FFFF0000"/>
      </font>
    </dxf>
    <dxf>
      <font>
        <b/>
        <i val="0"/>
        <color theme="6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showGridLines="0" showRowColHeaders="0" tabSelected="1" topLeftCell="A4" zoomScaleNormal="115" zoomScalePageLayoutView="115" workbookViewId="0">
      <selection activeCell="B27" sqref="B27:D27"/>
    </sheetView>
  </sheetViews>
  <sheetFormatPr defaultRowHeight="15"/>
  <cols>
    <col min="1" max="1" width="24.28515625" customWidth="1"/>
    <col min="2" max="2" width="10.140625" bestFit="1" customWidth="1"/>
    <col min="8" max="11" width="9.140625" hidden="1" customWidth="1"/>
    <col min="12" max="12" width="16.85546875" hidden="1" customWidth="1"/>
    <col min="13" max="13" width="9.140625" hidden="1" customWidth="1"/>
  </cols>
  <sheetData>
    <row r="1" spans="1:13">
      <c r="E1" s="10"/>
      <c r="F1" s="10" t="s">
        <v>0</v>
      </c>
      <c r="K1" t="s">
        <v>1</v>
      </c>
      <c r="L1" s="1">
        <f ca="1">NOW()</f>
        <v>44970.57213310185</v>
      </c>
      <c r="M1" s="2">
        <f ca="1">L1</f>
        <v>44970.57213310185</v>
      </c>
    </row>
    <row r="2" spans="1:13">
      <c r="K2" t="s">
        <v>2</v>
      </c>
      <c r="L2" s="2" t="str">
        <f ca="1">TEXT(M1,"yyyy")</f>
        <v>2023</v>
      </c>
      <c r="M2" s="2"/>
    </row>
    <row r="3" spans="1:13" ht="45" customHeight="1">
      <c r="A3" s="44" t="str">
        <f>J3&amp;" "&amp;B11&amp;". godine"</f>
        <v>Godišnji izvještaj o utrošku sredstava doznačenih za razdoblje 1. siječnja do 31. prosinca 2021. godine</v>
      </c>
      <c r="B3" s="44"/>
      <c r="C3" s="44"/>
      <c r="D3" s="44"/>
      <c r="E3" s="44"/>
      <c r="F3" s="44"/>
      <c r="G3" s="44"/>
      <c r="J3" t="s">
        <v>3</v>
      </c>
      <c r="L3" s="2"/>
      <c r="M3" s="2"/>
    </row>
    <row r="4" spans="1:13">
      <c r="L4" s="3"/>
      <c r="M4" s="2"/>
    </row>
    <row r="5" spans="1:13">
      <c r="A5" s="37" t="s">
        <v>4</v>
      </c>
      <c r="B5" s="40"/>
      <c r="C5" s="40"/>
      <c r="D5" s="40"/>
      <c r="E5" s="40"/>
      <c r="F5" s="40"/>
      <c r="G5" s="38"/>
      <c r="H5" t="s">
        <v>5</v>
      </c>
      <c r="L5" s="3"/>
      <c r="M5" s="2"/>
    </row>
    <row r="6" spans="1:13" ht="30" customHeight="1">
      <c r="A6" s="4" t="s">
        <v>6</v>
      </c>
      <c r="B6" s="34" t="s">
        <v>7</v>
      </c>
      <c r="C6" s="34"/>
      <c r="D6" s="34"/>
      <c r="E6" s="34"/>
      <c r="F6" s="34"/>
      <c r="G6" s="34"/>
      <c r="H6" t="str">
        <f>IF(B6="",1,"")</f>
        <v/>
      </c>
      <c r="J6" t="str">
        <f>IF(H6=1,"Naziv; ","")</f>
        <v/>
      </c>
      <c r="L6" s="3"/>
    </row>
    <row r="7" spans="1:13" ht="29.25" customHeight="1">
      <c r="A7" s="4" t="s">
        <v>8</v>
      </c>
      <c r="B7" s="34" t="s">
        <v>9</v>
      </c>
      <c r="C7" s="34"/>
      <c r="D7" s="34"/>
      <c r="E7" s="34"/>
      <c r="F7" s="34"/>
      <c r="G7" s="34"/>
      <c r="H7" t="str">
        <f>IF(B7="",1,"")</f>
        <v/>
      </c>
      <c r="J7" t="str">
        <f>IF(H7=1,"Adresa; ","")</f>
        <v/>
      </c>
      <c r="L7" s="3"/>
    </row>
    <row r="8" spans="1:13">
      <c r="A8" s="4" t="s">
        <v>10</v>
      </c>
      <c r="B8" s="45" t="s">
        <v>11</v>
      </c>
      <c r="C8" s="45"/>
      <c r="D8" s="46"/>
      <c r="E8" s="4" t="s">
        <v>12</v>
      </c>
      <c r="F8" s="47">
        <v>26928</v>
      </c>
      <c r="G8" s="48"/>
      <c r="H8" t="str">
        <f>IF(B8="",1,"")</f>
        <v/>
      </c>
      <c r="I8">
        <f>LEN(B8)</f>
        <v>11</v>
      </c>
      <c r="J8" t="str">
        <f>IF(H8=1,"OIB; ","")</f>
        <v/>
      </c>
      <c r="L8" s="3"/>
    </row>
    <row r="9" spans="1:13">
      <c r="A9" s="37" t="s">
        <v>13</v>
      </c>
      <c r="B9" s="38"/>
      <c r="D9" s="41" t="s">
        <v>14</v>
      </c>
      <c r="E9" s="41"/>
      <c r="F9" s="41"/>
      <c r="G9" s="41"/>
      <c r="H9" t="str">
        <f>IF(F8="",1,"")</f>
        <v/>
      </c>
      <c r="I9">
        <f>IF(I8=11,-11,0)</f>
        <v>-11</v>
      </c>
      <c r="J9" t="str">
        <f>IF(H9=1,"RKP; ","")</f>
        <v/>
      </c>
      <c r="L9" s="3"/>
    </row>
    <row r="10" spans="1:13">
      <c r="A10" s="4" t="s">
        <v>15</v>
      </c>
      <c r="B10" s="24" t="s">
        <v>16</v>
      </c>
      <c r="D10" s="4" t="s">
        <v>17</v>
      </c>
      <c r="E10" s="4"/>
      <c r="F10" s="30">
        <f>'POV-GOD'!C7</f>
        <v>138</v>
      </c>
      <c r="G10" s="30"/>
      <c r="L10" s="3"/>
    </row>
    <row r="11" spans="1:13">
      <c r="A11" s="4" t="s">
        <v>2</v>
      </c>
      <c r="B11" s="15" t="s">
        <v>18</v>
      </c>
      <c r="D11" s="4" t="s">
        <v>19</v>
      </c>
      <c r="E11" s="4"/>
      <c r="F11" s="31">
        <f>'POV-GOD'!C8</f>
        <v>26032751.170000002</v>
      </c>
      <c r="G11" s="31"/>
      <c r="H11" t="str">
        <f>IF(B11="",1,"")</f>
        <v/>
      </c>
      <c r="J11" t="str">
        <f>IF(H11=1,"Godina; ","")</f>
        <v/>
      </c>
      <c r="L11" s="3"/>
    </row>
    <row r="12" spans="1:13">
      <c r="B12" s="27"/>
      <c r="D12" s="4" t="s">
        <v>20</v>
      </c>
      <c r="E12" s="4"/>
      <c r="F12" s="31">
        <f>'POV-GOD'!C45</f>
        <v>23000000</v>
      </c>
      <c r="G12" s="31"/>
      <c r="J12" t="s">
        <v>21</v>
      </c>
      <c r="L12" s="3"/>
    </row>
    <row r="13" spans="1:13">
      <c r="B13" s="27"/>
      <c r="D13" s="42" t="str">
        <f>IF(F13=0,J12,IF(F13&gt;0,J13,J14))</f>
        <v>Manjak</v>
      </c>
      <c r="E13" s="43"/>
      <c r="F13" s="31">
        <f>'POV-GOD'!C47</f>
        <v>-3032751.1700000018</v>
      </c>
      <c r="G13" s="31"/>
      <c r="J13" t="s">
        <v>22</v>
      </c>
      <c r="L13" s="3"/>
    </row>
    <row r="14" spans="1:13">
      <c r="A14" s="37" t="s">
        <v>23</v>
      </c>
      <c r="B14" s="40"/>
      <c r="C14" s="40"/>
      <c r="D14" s="40"/>
      <c r="E14" s="40"/>
      <c r="F14" s="40"/>
      <c r="G14" s="38"/>
      <c r="H14" t="str">
        <f>IF(B11="",1,"")</f>
        <v/>
      </c>
      <c r="J14" t="s">
        <v>24</v>
      </c>
      <c r="L14" s="3"/>
    </row>
    <row r="15" spans="1:13">
      <c r="A15" s="4" t="s">
        <v>25</v>
      </c>
      <c r="B15" s="34" t="s">
        <v>26</v>
      </c>
      <c r="C15" s="34"/>
      <c r="D15" s="34"/>
      <c r="E15" s="34"/>
      <c r="F15" s="34"/>
      <c r="G15" s="34"/>
      <c r="L15" s="3"/>
    </row>
    <row r="16" spans="1:13">
      <c r="A16" s="4" t="s">
        <v>27</v>
      </c>
      <c r="B16" s="32" t="s">
        <v>28</v>
      </c>
      <c r="C16" s="32"/>
      <c r="D16" s="32"/>
      <c r="E16" s="32"/>
      <c r="F16" s="32"/>
      <c r="G16" s="32"/>
      <c r="L16" s="3"/>
    </row>
    <row r="17" spans="1:12">
      <c r="A17" s="4" t="s">
        <v>29</v>
      </c>
      <c r="B17" s="33" t="s">
        <v>30</v>
      </c>
      <c r="C17" s="34"/>
      <c r="D17" s="34"/>
      <c r="E17" s="34"/>
      <c r="F17" s="34"/>
      <c r="G17" s="34"/>
      <c r="H17" t="str">
        <f>IF(B15="",1,"")</f>
        <v/>
      </c>
      <c r="I17" s="39">
        <f>SUM(H17:H20)</f>
        <v>0</v>
      </c>
      <c r="J17" t="str">
        <f>IF(I17&gt;0,"Kontakt podaci ;","")</f>
        <v/>
      </c>
      <c r="L17" s="3"/>
    </row>
    <row r="18" spans="1:12">
      <c r="A18" s="4" t="s">
        <v>31</v>
      </c>
      <c r="B18" s="34" t="s">
        <v>32</v>
      </c>
      <c r="C18" s="34"/>
      <c r="D18" s="34"/>
      <c r="E18" s="34"/>
      <c r="F18" s="34"/>
      <c r="G18" s="34"/>
      <c r="H18" t="str">
        <f>IF(B16="",1,"")</f>
        <v/>
      </c>
      <c r="I18" s="39"/>
      <c r="L18" s="3"/>
    </row>
    <row r="19" spans="1:12">
      <c r="H19" t="str">
        <f>IF(B17="",1,"")</f>
        <v/>
      </c>
      <c r="I19" s="39"/>
    </row>
    <row r="20" spans="1:12">
      <c r="A20" s="14" t="str">
        <f>IF(J35&gt;0,"UPOZORENJE:","")</f>
        <v/>
      </c>
      <c r="H20" s="11" t="str">
        <f>IF(B18="",1,"")</f>
        <v/>
      </c>
      <c r="I20" s="28"/>
    </row>
    <row r="21" spans="1:12">
      <c r="A21" s="13" t="str">
        <f>IF(H35&gt;0,"Obvezna polja referentne stranice nisu popunjena","")</f>
        <v/>
      </c>
      <c r="H21" s="12">
        <f>SUM(H6:H20)</f>
        <v>0</v>
      </c>
      <c r="I21" s="12">
        <f>SUM(I6:I20)</f>
        <v>0</v>
      </c>
      <c r="J21">
        <f>SUM(H21:I21)</f>
        <v>0</v>
      </c>
    </row>
    <row r="22" spans="1:12">
      <c r="A22" s="13" t="str">
        <f>IF(H35&gt;0,"("&amp;J6&amp;J7&amp;J8&amp;J9&amp;J11&amp;J17&amp;J29&amp;J30&amp;")","")</f>
        <v/>
      </c>
    </row>
    <row r="23" spans="1:12">
      <c r="A23" s="13" t="str">
        <f>IF(I8=11,"","OIB nije unesen u pravilnom formatu")</f>
        <v/>
      </c>
    </row>
    <row r="24" spans="1:12">
      <c r="A24" s="13" t="str">
        <f>IF('POV-GOD'!D9=1,"U obrascu POV-ZAP nisu upisani podaci o broju zaposlenih ili utrošenim sredstvima","")</f>
        <v/>
      </c>
    </row>
    <row r="27" spans="1:12">
      <c r="A27" t="s">
        <v>33</v>
      </c>
      <c r="B27" s="35" t="s">
        <v>34</v>
      </c>
      <c r="C27" s="35"/>
      <c r="D27" s="35"/>
      <c r="E27" s="19"/>
      <c r="F27" s="19"/>
      <c r="G27" s="19"/>
    </row>
    <row r="28" spans="1:12">
      <c r="A28" t="s">
        <v>35</v>
      </c>
      <c r="B28" s="36" t="s">
        <v>36</v>
      </c>
      <c r="C28" s="36"/>
      <c r="D28" s="36"/>
    </row>
    <row r="29" spans="1:12">
      <c r="H29" s="11" t="str">
        <f>IF(B27="",1,"")</f>
        <v/>
      </c>
      <c r="J29" t="str">
        <f>IF(H29=1,"Datum; ","")</f>
        <v/>
      </c>
    </row>
    <row r="30" spans="1:12">
      <c r="H30" s="11" t="str">
        <f>IF(B28="",1,"")</f>
        <v/>
      </c>
      <c r="J30" t="str">
        <f>IF(H30=1,"Mjesto","")</f>
        <v/>
      </c>
    </row>
    <row r="32" spans="1:12">
      <c r="C32" s="28"/>
      <c r="D32" s="28"/>
      <c r="E32" s="28"/>
      <c r="F32" s="28"/>
      <c r="G32" s="28"/>
    </row>
    <row r="33" spans="3:10" ht="17.25">
      <c r="C33" s="29" t="s">
        <v>37</v>
      </c>
      <c r="D33" s="29"/>
      <c r="E33" s="29"/>
      <c r="F33" s="29"/>
      <c r="G33" s="29"/>
    </row>
    <row r="35" spans="3:10">
      <c r="H35">
        <f>SUM(H6:H34)</f>
        <v>0</v>
      </c>
      <c r="I35">
        <f>SUM(I6:I34)</f>
        <v>0</v>
      </c>
      <c r="J35">
        <f>SUM(H35:I35)</f>
        <v>0</v>
      </c>
    </row>
  </sheetData>
  <sheetProtection password="CAB4" sheet="1" objects="1" scenarios="1" selectLockedCells="1"/>
  <mergeCells count="23">
    <mergeCell ref="A3:G3"/>
    <mergeCell ref="B6:G6"/>
    <mergeCell ref="B7:G7"/>
    <mergeCell ref="B8:D8"/>
    <mergeCell ref="A5:G5"/>
    <mergeCell ref="F8:G8"/>
    <mergeCell ref="A9:B9"/>
    <mergeCell ref="I17:I20"/>
    <mergeCell ref="A14:G14"/>
    <mergeCell ref="D9:G9"/>
    <mergeCell ref="B15:G15"/>
    <mergeCell ref="F12:G12"/>
    <mergeCell ref="F13:G13"/>
    <mergeCell ref="D13:E13"/>
    <mergeCell ref="C32:G32"/>
    <mergeCell ref="C33:G33"/>
    <mergeCell ref="F10:G10"/>
    <mergeCell ref="F11:G11"/>
    <mergeCell ref="B16:G16"/>
    <mergeCell ref="B17:G17"/>
    <mergeCell ref="B18:G18"/>
    <mergeCell ref="B27:D27"/>
    <mergeCell ref="B28:D28"/>
  </mergeCells>
  <conditionalFormatting sqref="F13:G13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00" verticalDpi="200" r:id="rId1"/>
  <headerFooter>
    <oddHeader>&amp;RObrazac POV-GOD</oddHeader>
    <oddFooter>&amp;R1/2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7"/>
  <sheetViews>
    <sheetView showGridLines="0" showRowColHeaders="0" showRuler="0" view="pageLayout" zoomScaleNormal="100" workbookViewId="0">
      <selection activeCell="C15" sqref="C15"/>
    </sheetView>
  </sheetViews>
  <sheetFormatPr defaultRowHeight="15"/>
  <cols>
    <col min="1" max="1" width="62" customWidth="1"/>
    <col min="2" max="2" width="5" bestFit="1" customWidth="1"/>
    <col min="3" max="3" width="27.42578125" customWidth="1"/>
    <col min="4" max="4" width="0" hidden="1" customWidth="1"/>
  </cols>
  <sheetData>
    <row r="3" spans="1:4" ht="45" customHeight="1">
      <c r="A3" s="4" t="s">
        <v>38</v>
      </c>
      <c r="B3" s="4"/>
      <c r="C3" s="9" t="str">
        <f>'Referentna stranica'!B6</f>
        <v xml:space="preserve">ZAGREBAČKA ŽUPANIJA </v>
      </c>
    </row>
    <row r="4" spans="1:4" ht="19.5" customHeight="1">
      <c r="A4" s="4" t="s">
        <v>39</v>
      </c>
      <c r="B4" s="4"/>
      <c r="C4" s="5" t="str">
        <f>'Referentna stranica'!B10&amp;"/"&amp;'Referentna stranica'!B11</f>
        <v>1.-12./2021</v>
      </c>
    </row>
    <row r="5" spans="1:4" ht="31.5" customHeight="1">
      <c r="A5" s="6" t="s">
        <v>40</v>
      </c>
      <c r="B5" s="6"/>
      <c r="C5" s="16">
        <v>137</v>
      </c>
    </row>
    <row r="6" spans="1:4" ht="31.5" customHeight="1">
      <c r="A6" s="6" t="s">
        <v>41</v>
      </c>
      <c r="B6" s="6"/>
      <c r="C6" s="16">
        <v>1</v>
      </c>
    </row>
    <row r="7" spans="1:4" ht="43.5" customHeight="1">
      <c r="A7" s="6" t="s">
        <v>42</v>
      </c>
      <c r="B7" s="6"/>
      <c r="C7" s="7">
        <f>C5+C6</f>
        <v>138</v>
      </c>
      <c r="D7">
        <f>IF(C7&gt;0,1,0)</f>
        <v>1</v>
      </c>
    </row>
    <row r="8" spans="1:4" ht="19.5" customHeight="1">
      <c r="A8" s="26" t="s">
        <v>43</v>
      </c>
      <c r="B8" s="26">
        <v>3</v>
      </c>
      <c r="C8" s="25">
        <f>C9+C13+C40</f>
        <v>26032751.170000002</v>
      </c>
      <c r="D8">
        <f>IF(C8&gt;0,1,0)</f>
        <v>1</v>
      </c>
    </row>
    <row r="9" spans="1:4" ht="19.5" customHeight="1">
      <c r="A9" s="4" t="s">
        <v>44</v>
      </c>
      <c r="B9" s="4">
        <v>31</v>
      </c>
      <c r="C9" s="8">
        <f>SUM(C10:C12)</f>
        <v>22492024.25</v>
      </c>
      <c r="D9" s="12">
        <f>SUM(D7:D8)</f>
        <v>2</v>
      </c>
    </row>
    <row r="10" spans="1:4">
      <c r="A10" s="4" t="s">
        <v>45</v>
      </c>
      <c r="B10" s="4">
        <v>311</v>
      </c>
      <c r="C10" s="17">
        <v>18013324.300000001</v>
      </c>
    </row>
    <row r="11" spans="1:4">
      <c r="A11" s="4" t="s">
        <v>46</v>
      </c>
      <c r="B11" s="4">
        <v>312</v>
      </c>
      <c r="C11" s="17">
        <v>1510054.57</v>
      </c>
    </row>
    <row r="12" spans="1:4">
      <c r="A12" s="6" t="s">
        <v>47</v>
      </c>
      <c r="B12" s="6">
        <v>313</v>
      </c>
      <c r="C12" s="17">
        <v>2968645.38</v>
      </c>
    </row>
    <row r="13" spans="1:4" ht="19.5" customHeight="1">
      <c r="A13" s="4" t="s">
        <v>48</v>
      </c>
      <c r="B13" s="4">
        <v>32</v>
      </c>
      <c r="C13" s="8">
        <f>C14+C19+C25+C35</f>
        <v>3540726.92</v>
      </c>
    </row>
    <row r="14" spans="1:4" ht="19.5" customHeight="1">
      <c r="A14" s="4" t="s">
        <v>49</v>
      </c>
      <c r="B14" s="4">
        <v>321</v>
      </c>
      <c r="C14" s="8">
        <f>SUM(C15:C18)</f>
        <v>702848.14</v>
      </c>
    </row>
    <row r="15" spans="1:4">
      <c r="A15" s="4" t="s">
        <v>50</v>
      </c>
      <c r="B15" s="4">
        <v>3211</v>
      </c>
      <c r="C15" s="17"/>
    </row>
    <row r="16" spans="1:4">
      <c r="A16" s="4" t="s">
        <v>51</v>
      </c>
      <c r="B16" s="4">
        <v>3212</v>
      </c>
      <c r="C16" s="17">
        <v>699148.14</v>
      </c>
    </row>
    <row r="17" spans="1:3">
      <c r="A17" s="4" t="s">
        <v>52</v>
      </c>
      <c r="B17" s="4">
        <v>3213</v>
      </c>
      <c r="C17" s="17">
        <v>3700</v>
      </c>
    </row>
    <row r="18" spans="1:3">
      <c r="A18" s="4" t="s">
        <v>53</v>
      </c>
      <c r="B18" s="4">
        <v>3214</v>
      </c>
      <c r="C18" s="17"/>
    </row>
    <row r="19" spans="1:3" ht="19.5" customHeight="1">
      <c r="A19" s="4" t="s">
        <v>54</v>
      </c>
      <c r="B19" s="4">
        <v>322</v>
      </c>
      <c r="C19" s="8">
        <f>SUM(C20:C24)</f>
        <v>722924.21000000008</v>
      </c>
    </row>
    <row r="20" spans="1:3">
      <c r="A20" s="4" t="s">
        <v>55</v>
      </c>
      <c r="B20" s="4">
        <v>3221</v>
      </c>
      <c r="C20" s="17">
        <v>400028.5</v>
      </c>
    </row>
    <row r="21" spans="1:3">
      <c r="A21" s="4" t="s">
        <v>56</v>
      </c>
      <c r="B21" s="4">
        <v>3222</v>
      </c>
      <c r="C21" s="17"/>
    </row>
    <row r="22" spans="1:3">
      <c r="A22" s="4" t="s">
        <v>57</v>
      </c>
      <c r="B22" s="4">
        <v>3223</v>
      </c>
      <c r="C22" s="17">
        <v>294008.03000000003</v>
      </c>
    </row>
    <row r="23" spans="1:3">
      <c r="A23" s="4" t="s">
        <v>58</v>
      </c>
      <c r="B23" s="4">
        <v>3224</v>
      </c>
      <c r="C23" s="17">
        <v>28887.68</v>
      </c>
    </row>
    <row r="24" spans="1:3">
      <c r="A24" s="4" t="s">
        <v>59</v>
      </c>
      <c r="B24" s="4">
        <v>3225</v>
      </c>
      <c r="C24" s="17"/>
    </row>
    <row r="25" spans="1:3" ht="19.5" customHeight="1">
      <c r="A25" s="4" t="s">
        <v>60</v>
      </c>
      <c r="B25" s="4">
        <v>323</v>
      </c>
      <c r="C25" s="8">
        <f>SUM(C26:D34)</f>
        <v>2105106.7799999998</v>
      </c>
    </row>
    <row r="26" spans="1:3">
      <c r="A26" s="4" t="s">
        <v>61</v>
      </c>
      <c r="B26" s="4">
        <v>3231</v>
      </c>
      <c r="C26" s="17">
        <v>703523.23</v>
      </c>
    </row>
    <row r="27" spans="1:3">
      <c r="A27" s="4" t="s">
        <v>62</v>
      </c>
      <c r="B27" s="4">
        <v>3232</v>
      </c>
      <c r="C27" s="17">
        <v>285650.89</v>
      </c>
    </row>
    <row r="28" spans="1:3">
      <c r="A28" s="4" t="s">
        <v>63</v>
      </c>
      <c r="B28" s="4">
        <v>3233</v>
      </c>
      <c r="C28" s="17"/>
    </row>
    <row r="29" spans="1:3">
      <c r="A29" s="4" t="s">
        <v>64</v>
      </c>
      <c r="B29" s="4">
        <v>3234</v>
      </c>
      <c r="C29" s="17">
        <v>138484.99</v>
      </c>
    </row>
    <row r="30" spans="1:3">
      <c r="A30" s="4" t="s">
        <v>65</v>
      </c>
      <c r="B30" s="4">
        <v>3235</v>
      </c>
      <c r="C30" s="17">
        <v>292543.96000000002</v>
      </c>
    </row>
    <row r="31" spans="1:3">
      <c r="A31" s="4" t="s">
        <v>66</v>
      </c>
      <c r="B31" s="4">
        <v>3236</v>
      </c>
      <c r="C31" s="17"/>
    </row>
    <row r="32" spans="1:3">
      <c r="A32" s="4" t="s">
        <v>67</v>
      </c>
      <c r="B32" s="4">
        <v>3237</v>
      </c>
      <c r="C32" s="17"/>
    </row>
    <row r="33" spans="1:3">
      <c r="A33" s="4" t="s">
        <v>68</v>
      </c>
      <c r="B33" s="4">
        <v>3238</v>
      </c>
      <c r="C33" s="17">
        <v>248082.55</v>
      </c>
    </row>
    <row r="34" spans="1:3">
      <c r="A34" s="4" t="s">
        <v>69</v>
      </c>
      <c r="B34" s="4">
        <v>3239</v>
      </c>
      <c r="C34" s="17">
        <v>436821.16</v>
      </c>
    </row>
    <row r="35" spans="1:3" ht="19.5" customHeight="1">
      <c r="A35" s="4" t="s">
        <v>70</v>
      </c>
      <c r="B35" s="4">
        <v>329</v>
      </c>
      <c r="C35" s="8">
        <f>SUM(C36:C39)</f>
        <v>9847.7900000000009</v>
      </c>
    </row>
    <row r="36" spans="1:3">
      <c r="A36" s="4" t="s">
        <v>71</v>
      </c>
      <c r="B36" s="4">
        <v>3292</v>
      </c>
      <c r="C36" s="17">
        <v>9847.7900000000009</v>
      </c>
    </row>
    <row r="37" spans="1:3">
      <c r="A37" s="4" t="s">
        <v>72</v>
      </c>
      <c r="B37" s="4">
        <v>3295</v>
      </c>
      <c r="C37" s="17"/>
    </row>
    <row r="38" spans="1:3">
      <c r="A38" s="4" t="s">
        <v>73</v>
      </c>
      <c r="B38" s="4">
        <v>3296</v>
      </c>
      <c r="C38" s="17"/>
    </row>
    <row r="39" spans="1:3">
      <c r="A39" s="4" t="s">
        <v>70</v>
      </c>
      <c r="B39" s="4">
        <v>3299</v>
      </c>
      <c r="C39" s="17"/>
    </row>
    <row r="40" spans="1:3" ht="19.5" customHeight="1">
      <c r="A40" s="4" t="s">
        <v>74</v>
      </c>
      <c r="B40" s="4">
        <v>34</v>
      </c>
      <c r="C40" s="8">
        <f>C41</f>
        <v>0</v>
      </c>
    </row>
    <row r="41" spans="1:3" ht="19.5" customHeight="1">
      <c r="A41" s="4" t="s">
        <v>75</v>
      </c>
      <c r="B41" s="4">
        <v>343</v>
      </c>
      <c r="C41" s="8">
        <f>SUM(C42:C44)</f>
        <v>0</v>
      </c>
    </row>
    <row r="42" spans="1:3">
      <c r="A42" s="4" t="s">
        <v>76</v>
      </c>
      <c r="B42" s="4">
        <v>3431</v>
      </c>
      <c r="C42" s="17"/>
    </row>
    <row r="43" spans="1:3">
      <c r="A43" s="4" t="s">
        <v>77</v>
      </c>
      <c r="B43" s="4">
        <v>3433</v>
      </c>
      <c r="C43" s="17"/>
    </row>
    <row r="44" spans="1:3">
      <c r="A44" s="4" t="s">
        <v>78</v>
      </c>
      <c r="B44" s="4">
        <v>3434</v>
      </c>
      <c r="C44" s="17"/>
    </row>
    <row r="45" spans="1:3" ht="19.5" customHeight="1">
      <c r="A45" s="26" t="s">
        <v>79</v>
      </c>
      <c r="B45" s="26"/>
      <c r="C45" s="25">
        <f>C46</f>
        <v>23000000</v>
      </c>
    </row>
    <row r="46" spans="1:3">
      <c r="A46" s="4" t="s">
        <v>80</v>
      </c>
      <c r="B46" s="4"/>
      <c r="C46" s="17">
        <v>23000000</v>
      </c>
    </row>
    <row r="47" spans="1:3" ht="19.5" customHeight="1">
      <c r="A47" s="26" t="s">
        <v>81</v>
      </c>
      <c r="B47" s="26"/>
      <c r="C47" s="25">
        <f>C45-C8</f>
        <v>-3032751.1700000018</v>
      </c>
    </row>
  </sheetData>
  <sheetProtection password="CAB4"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00" verticalDpi="200" r:id="rId1"/>
  <headerFooter>
    <oddHeader>&amp;RObrazac POV-GOD</oddHeader>
    <oddFooter>&amp;R2/2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"/>
  <sheetViews>
    <sheetView topLeftCell="AM1" zoomScaleNormal="100" workbookViewId="0">
      <selection activeCell="AZ2" sqref="AZ2"/>
    </sheetView>
  </sheetViews>
  <sheetFormatPr defaultRowHeight="15"/>
  <cols>
    <col min="1" max="1" width="8.5703125" customWidth="1"/>
    <col min="2" max="2" width="10.140625" bestFit="1" customWidth="1"/>
    <col min="3" max="3" width="9.140625" customWidth="1"/>
    <col min="4" max="4" width="27.42578125" customWidth="1"/>
    <col min="5" max="5" width="20.140625" customWidth="1"/>
    <col min="6" max="6" width="12" bestFit="1" customWidth="1"/>
    <col min="7" max="7" width="8.7109375" customWidth="1"/>
    <col min="8" max="8" width="13.7109375" bestFit="1" customWidth="1"/>
    <col min="9" max="9" width="10.85546875" customWidth="1"/>
    <col min="10" max="10" width="18.42578125" customWidth="1"/>
    <col min="11" max="11" width="12.42578125" customWidth="1"/>
    <col min="12" max="13" width="15.5703125" customWidth="1"/>
    <col min="14" max="14" width="11.7109375" bestFit="1" customWidth="1"/>
    <col min="15" max="15" width="14.85546875" bestFit="1" customWidth="1"/>
    <col min="16" max="16" width="10.28515625" bestFit="1" customWidth="1"/>
    <col min="17" max="17" width="12.42578125" bestFit="1" customWidth="1"/>
    <col min="18" max="18" width="12.140625" bestFit="1" customWidth="1"/>
    <col min="19" max="20" width="15.5703125" customWidth="1"/>
    <col min="21" max="21" width="12.140625" bestFit="1" customWidth="1"/>
    <col min="22" max="22" width="9.85546875" bestFit="1" customWidth="1"/>
    <col min="23" max="23" width="14.7109375" bestFit="1" customWidth="1"/>
    <col min="24" max="24" width="12.42578125" bestFit="1" customWidth="1"/>
    <col min="25" max="25" width="14.85546875" bestFit="1" customWidth="1"/>
    <col min="26" max="54" width="14.85546875" customWidth="1"/>
  </cols>
  <sheetData>
    <row r="1" spans="1:57" s="18" customFormat="1" ht="150">
      <c r="A1" s="9" t="s">
        <v>82</v>
      </c>
      <c r="B1" s="9" t="s">
        <v>83</v>
      </c>
      <c r="C1" s="9" t="s">
        <v>35</v>
      </c>
      <c r="D1" s="9" t="s">
        <v>6</v>
      </c>
      <c r="E1" s="9" t="s">
        <v>84</v>
      </c>
      <c r="F1" s="9" t="s">
        <v>10</v>
      </c>
      <c r="G1" s="9" t="s">
        <v>12</v>
      </c>
      <c r="H1" s="9" t="s">
        <v>85</v>
      </c>
      <c r="I1" s="9" t="s">
        <v>27</v>
      </c>
      <c r="J1" s="9" t="s">
        <v>86</v>
      </c>
      <c r="K1" s="9" t="s">
        <v>31</v>
      </c>
      <c r="L1" s="9" t="s">
        <v>40</v>
      </c>
      <c r="M1" s="9" t="s">
        <v>41</v>
      </c>
      <c r="N1" s="9" t="s">
        <v>87</v>
      </c>
      <c r="O1" s="9" t="s">
        <v>43</v>
      </c>
      <c r="P1" s="9" t="s">
        <v>44</v>
      </c>
      <c r="Q1" s="9" t="s">
        <v>45</v>
      </c>
      <c r="R1" s="9" t="s">
        <v>46</v>
      </c>
      <c r="S1" s="9" t="s">
        <v>47</v>
      </c>
      <c r="T1" s="9" t="s">
        <v>48</v>
      </c>
      <c r="U1" s="9" t="s">
        <v>49</v>
      </c>
      <c r="V1" s="9" t="s">
        <v>50</v>
      </c>
      <c r="W1" s="9" t="s">
        <v>51</v>
      </c>
      <c r="X1" s="9" t="s">
        <v>52</v>
      </c>
      <c r="Y1" s="9" t="s">
        <v>53</v>
      </c>
      <c r="Z1" s="9" t="s">
        <v>54</v>
      </c>
      <c r="AA1" s="9" t="s">
        <v>55</v>
      </c>
      <c r="AB1" s="9" t="s">
        <v>56</v>
      </c>
      <c r="AC1" s="9" t="s">
        <v>57</v>
      </c>
      <c r="AD1" s="9" t="s">
        <v>58</v>
      </c>
      <c r="AE1" s="9" t="s">
        <v>59</v>
      </c>
      <c r="AF1" s="9" t="s">
        <v>60</v>
      </c>
      <c r="AG1" s="9" t="s">
        <v>61</v>
      </c>
      <c r="AH1" s="9" t="s">
        <v>62</v>
      </c>
      <c r="AI1" s="9" t="s">
        <v>63</v>
      </c>
      <c r="AJ1" s="9" t="s">
        <v>64</v>
      </c>
      <c r="AK1" s="9" t="s">
        <v>65</v>
      </c>
      <c r="AL1" s="9" t="s">
        <v>66</v>
      </c>
      <c r="AM1" s="9" t="s">
        <v>67</v>
      </c>
      <c r="AN1" s="9" t="s">
        <v>68</v>
      </c>
      <c r="AO1" s="9" t="s">
        <v>69</v>
      </c>
      <c r="AP1" s="9" t="s">
        <v>70</v>
      </c>
      <c r="AQ1" s="9" t="s">
        <v>71</v>
      </c>
      <c r="AR1" s="9" t="s">
        <v>72</v>
      </c>
      <c r="AS1" s="9" t="s">
        <v>73</v>
      </c>
      <c r="AT1" s="9" t="s">
        <v>70</v>
      </c>
      <c r="AU1" s="9" t="s">
        <v>74</v>
      </c>
      <c r="AV1" s="9" t="s">
        <v>75</v>
      </c>
      <c r="AW1" s="9" t="s">
        <v>76</v>
      </c>
      <c r="AX1" s="9" t="s">
        <v>77</v>
      </c>
      <c r="AY1" s="9" t="s">
        <v>78</v>
      </c>
      <c r="AZ1" s="9" t="s">
        <v>79</v>
      </c>
      <c r="BA1" s="9" t="s">
        <v>80</v>
      </c>
      <c r="BB1" s="9" t="s">
        <v>81</v>
      </c>
      <c r="BC1" s="9" t="s">
        <v>88</v>
      </c>
      <c r="BD1" s="9" t="s">
        <v>89</v>
      </c>
      <c r="BE1" s="9" t="s">
        <v>90</v>
      </c>
    </row>
    <row r="2" spans="1:57" s="18" customFormat="1" ht="60">
      <c r="A2" s="6" t="str">
        <f>'POV-GOD'!C4</f>
        <v>1.-12./2021</v>
      </c>
      <c r="B2" s="20" t="str">
        <f>'Referentna stranica'!B27:D27</f>
        <v>2.2.2022.</v>
      </c>
      <c r="C2" s="6" t="str">
        <f>'Referentna stranica'!B28</f>
        <v>Zagreb</v>
      </c>
      <c r="D2" s="6" t="str">
        <f>'Referentna stranica'!B6</f>
        <v xml:space="preserve">ZAGREBAČKA ŽUPANIJA </v>
      </c>
      <c r="E2" s="6" t="str">
        <f>'Referentna stranica'!B7</f>
        <v>Ulica grada Vukovara 72/V</v>
      </c>
      <c r="F2" s="21" t="str">
        <f>'Referentna stranica'!B8</f>
        <v>07132269553</v>
      </c>
      <c r="G2" s="21">
        <f>'Referentna stranica'!F8</f>
        <v>26928</v>
      </c>
      <c r="H2" s="6" t="str">
        <f>'Referentna stranica'!B15</f>
        <v>Marina Čolig, univ.spec.oec.</v>
      </c>
      <c r="I2" s="21" t="str">
        <f>'Referentna stranica'!B16</f>
        <v>01/6009-446</v>
      </c>
      <c r="J2" s="6" t="str">
        <f>'Referentna stranica'!B17</f>
        <v>m.colig@zagrebacka-zupanija.hr</v>
      </c>
      <c r="K2" s="6" t="str">
        <f>'Referentna stranica'!B18</f>
        <v>mr.sc. Stjepan Kožić, dipl.iur</v>
      </c>
      <c r="L2" s="22">
        <f>'POV-GOD'!C5</f>
        <v>137</v>
      </c>
      <c r="M2" s="22">
        <f>'POV-GOD'!C6</f>
        <v>1</v>
      </c>
      <c r="N2" s="22">
        <f>'POV-GOD'!C7</f>
        <v>138</v>
      </c>
      <c r="O2" s="23">
        <f>'POV-GOD'!C8</f>
        <v>26032751.170000002</v>
      </c>
      <c r="P2" s="23">
        <f>'POV-GOD'!C9</f>
        <v>22492024.25</v>
      </c>
      <c r="Q2" s="23">
        <f>'POV-GOD'!C10</f>
        <v>18013324.300000001</v>
      </c>
      <c r="R2" s="23">
        <f>'POV-GOD'!C11</f>
        <v>1510054.57</v>
      </c>
      <c r="S2" s="23">
        <f>'POV-GOD'!C12</f>
        <v>2968645.38</v>
      </c>
      <c r="T2" s="23">
        <f>'POV-GOD'!C13</f>
        <v>3540726.92</v>
      </c>
      <c r="U2" s="23">
        <f>'POV-GOD'!C14</f>
        <v>702848.14</v>
      </c>
      <c r="V2" s="23">
        <f>'POV-GOD'!C15</f>
        <v>0</v>
      </c>
      <c r="W2" s="23">
        <f>'POV-GOD'!C16</f>
        <v>699148.14</v>
      </c>
      <c r="X2" s="23">
        <f>'POV-GOD'!C17</f>
        <v>3700</v>
      </c>
      <c r="Y2" s="23">
        <f>'POV-GOD'!C18</f>
        <v>0</v>
      </c>
      <c r="Z2" s="23">
        <f>'POV-GOD'!C19</f>
        <v>722924.21000000008</v>
      </c>
      <c r="AA2" s="23">
        <f>'POV-GOD'!C20</f>
        <v>400028.5</v>
      </c>
      <c r="AB2" s="23">
        <f>'POV-GOD'!C21</f>
        <v>0</v>
      </c>
      <c r="AC2" s="23">
        <f>'POV-GOD'!C22</f>
        <v>294008.03000000003</v>
      </c>
      <c r="AD2" s="23">
        <f>'POV-GOD'!C23</f>
        <v>28887.68</v>
      </c>
      <c r="AE2" s="23">
        <f>'POV-GOD'!C24</f>
        <v>0</v>
      </c>
      <c r="AF2" s="23">
        <f>'POV-GOD'!C25</f>
        <v>2105106.7799999998</v>
      </c>
      <c r="AG2" s="23">
        <f>'POV-GOD'!C26</f>
        <v>703523.23</v>
      </c>
      <c r="AH2" s="23">
        <f>'POV-GOD'!C27</f>
        <v>285650.89</v>
      </c>
      <c r="AI2" s="23">
        <f>'POV-GOD'!C28</f>
        <v>0</v>
      </c>
      <c r="AJ2" s="23">
        <f>'POV-GOD'!C29</f>
        <v>138484.99</v>
      </c>
      <c r="AK2" s="23">
        <f>'POV-GOD'!C30</f>
        <v>292543.96000000002</v>
      </c>
      <c r="AL2" s="23">
        <f>'POV-GOD'!C31</f>
        <v>0</v>
      </c>
      <c r="AM2" s="23">
        <f>'POV-GOD'!C32</f>
        <v>0</v>
      </c>
      <c r="AN2" s="23">
        <f>'POV-GOD'!C33</f>
        <v>248082.55</v>
      </c>
      <c r="AO2" s="23">
        <f>'POV-GOD'!C34</f>
        <v>436821.16</v>
      </c>
      <c r="AP2" s="23">
        <f>'POV-GOD'!C35</f>
        <v>9847.7900000000009</v>
      </c>
      <c r="AQ2" s="23">
        <f>'POV-GOD'!C36</f>
        <v>9847.7900000000009</v>
      </c>
      <c r="AR2" s="23">
        <f>'POV-GOD'!C37</f>
        <v>0</v>
      </c>
      <c r="AS2" s="23">
        <f>'POV-GOD'!C38</f>
        <v>0</v>
      </c>
      <c r="AT2" s="23">
        <f>'POV-GOD'!C39</f>
        <v>0</v>
      </c>
      <c r="AU2" s="23">
        <f>'POV-GOD'!C40</f>
        <v>0</v>
      </c>
      <c r="AV2" s="23">
        <f>'POV-GOD'!C41</f>
        <v>0</v>
      </c>
      <c r="AW2" s="23">
        <f>'POV-GOD'!C42</f>
        <v>0</v>
      </c>
      <c r="AX2" s="23">
        <f>'POV-GOD'!C43</f>
        <v>0</v>
      </c>
      <c r="AY2" s="23">
        <f>'POV-GOD'!C44</f>
        <v>0</v>
      </c>
      <c r="AZ2" s="23">
        <f>'POV-GOD'!C45</f>
        <v>23000000</v>
      </c>
      <c r="BA2" s="23">
        <f>'POV-GOD'!C46</f>
        <v>23000000</v>
      </c>
      <c r="BB2" s="23">
        <f>'POV-GOD'!C47</f>
        <v>-3032751.1700000018</v>
      </c>
      <c r="BC2" s="6">
        <f>(M2/2)+L2</f>
        <v>137.5</v>
      </c>
      <c r="BD2" s="23">
        <f>O2/BC2</f>
        <v>189329.09941818184</v>
      </c>
      <c r="BE2" s="23">
        <f>P2/BC2</f>
        <v>163578.35818181818</v>
      </c>
    </row>
  </sheetData>
  <sheetProtection password="CAB4" sheet="1" objects="1" scenarios="1" selectLockedCells="1"/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Saša Čolić</dc:creator>
  <cp:keywords/>
  <dc:description/>
  <cp:lastModifiedBy>Gost korisnik</cp:lastModifiedBy>
  <cp:revision/>
  <dcterms:created xsi:type="dcterms:W3CDTF">2020-02-11T11:22:05Z</dcterms:created>
  <dcterms:modified xsi:type="dcterms:W3CDTF">2023-02-13T12:45:57Z</dcterms:modified>
  <cp:category/>
  <cp:contentStatus/>
</cp:coreProperties>
</file>